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8275" windowHeight="14595" activeTab="0"/>
  </bookViews>
  <sheets>
    <sheet name="Ark2" sheetId="1" r:id="rId1"/>
    <sheet name="Ark3" sheetId="2" r:id="rId2"/>
  </sheets>
  <definedNames>
    <definedName name="_xlnm.Print_Area" localSheetId="0">'Ark2'!$A$1:$M$38</definedName>
  </definedNames>
  <calcPr fullCalcOnLoad="1"/>
</workbook>
</file>

<file path=xl/comments1.xml><?xml version="1.0" encoding="utf-8"?>
<comments xmlns="http://schemas.openxmlformats.org/spreadsheetml/2006/main">
  <authors>
    <author>gurartu</author>
  </authors>
  <commentList>
    <comment ref="G26" authorId="0">
      <text>
        <r>
          <rPr>
            <b/>
            <sz val="9"/>
            <rFont val="Tahoma"/>
            <family val="2"/>
          </rPr>
          <t>gurartu:</t>
        </r>
        <r>
          <rPr>
            <sz val="9"/>
            <rFont val="Tahoma"/>
            <family val="2"/>
          </rPr>
          <t xml:space="preserve">
5000: 272732
5040: 930504
1421: 401080</t>
        </r>
      </text>
    </comment>
    <comment ref="G29" authorId="0">
      <text>
        <r>
          <rPr>
            <b/>
            <sz val="9"/>
            <rFont val="Tahoma"/>
            <family val="2"/>
          </rPr>
          <t>gurartu:</t>
        </r>
        <r>
          <rPr>
            <sz val="9"/>
            <rFont val="Tahoma"/>
            <family val="2"/>
          </rPr>
          <t xml:space="preserve">
3153: 27000
2311: 225383</t>
        </r>
      </text>
    </comment>
    <comment ref="G31" authorId="0">
      <text>
        <r>
          <rPr>
            <b/>
            <sz val="9"/>
            <rFont val="Tahoma"/>
            <family val="2"/>
          </rPr>
          <t>gurartu:</t>
        </r>
        <r>
          <rPr>
            <sz val="9"/>
            <rFont val="Tahoma"/>
            <family val="2"/>
          </rPr>
          <t xml:space="preserve">
2320: 7 569 844
4302: 2 852 087</t>
        </r>
      </text>
    </comment>
    <comment ref="H31" authorId="0">
      <text>
        <r>
          <rPr>
            <b/>
            <sz val="9"/>
            <rFont val="Tahoma"/>
            <family val="2"/>
          </rPr>
          <t>gurartu:</t>
        </r>
        <r>
          <rPr>
            <sz val="9"/>
            <rFont val="Tahoma"/>
            <family val="2"/>
          </rPr>
          <t xml:space="preserve">
2320: 8 327 000
4302: 2 783 000</t>
        </r>
      </text>
    </comment>
    <comment ref="H29" authorId="0">
      <text>
        <r>
          <rPr>
            <b/>
            <sz val="9"/>
            <rFont val="Tahoma"/>
            <family val="2"/>
          </rPr>
          <t>gurartu:</t>
        </r>
        <r>
          <rPr>
            <sz val="9"/>
            <rFont val="Tahoma"/>
            <family val="2"/>
          </rPr>
          <t xml:space="preserve">
3153:?
2311: 268 000
</t>
        </r>
      </text>
    </comment>
    <comment ref="H26" authorId="0">
      <text>
        <r>
          <rPr>
            <b/>
            <sz val="9"/>
            <rFont val="Tahoma"/>
            <family val="2"/>
          </rPr>
          <t>gurartu:</t>
        </r>
        <r>
          <rPr>
            <sz val="9"/>
            <rFont val="Tahoma"/>
            <family val="2"/>
          </rPr>
          <t xml:space="preserve">
5000: 265 000
5040: 887 000
1421: 508 000</t>
        </r>
      </text>
    </comment>
  </commentList>
</comments>
</file>

<file path=xl/sharedStrings.xml><?xml version="1.0" encoding="utf-8"?>
<sst xmlns="http://schemas.openxmlformats.org/spreadsheetml/2006/main" count="125" uniqueCount="120">
  <si>
    <t>Gateadresse</t>
  </si>
  <si>
    <t>Inngått avtale</t>
  </si>
  <si>
    <t>Holbergsgate 16</t>
  </si>
  <si>
    <t>Hoveveien 9</t>
  </si>
  <si>
    <t>Hoveveien 30</t>
  </si>
  <si>
    <t>Eidsvollsg. 48</t>
  </si>
  <si>
    <t>Vågsg. 41</t>
  </si>
  <si>
    <t>Strandg. 7</t>
  </si>
  <si>
    <t>Apalstøv. 64</t>
  </si>
  <si>
    <t>??</t>
  </si>
  <si>
    <t>Postveien 142</t>
  </si>
  <si>
    <t>Olabakken 5</t>
  </si>
  <si>
    <t>Olsokv. 1</t>
  </si>
  <si>
    <t>Ikke oppmålt</t>
  </si>
  <si>
    <t>Kvål 13</t>
  </si>
  <si>
    <t>Langg. 1C</t>
  </si>
  <si>
    <t>Dyre Vaasv. 61</t>
  </si>
  <si>
    <t>Betalt 2013</t>
  </si>
  <si>
    <t>Ansvar</t>
  </si>
  <si>
    <t>Kvm/fellesareale</t>
  </si>
  <si>
    <t>Leiepris per år eks mva, ved inngåelse av avtale</t>
  </si>
  <si>
    <t>Sandnes eiendom invest AS - Helsestasjon</t>
  </si>
  <si>
    <t>286+43</t>
  </si>
  <si>
    <t>1/9-2007-1/9-2017</t>
  </si>
  <si>
    <t>Sandnes eiendom invest AS - Mestringsenheten</t>
  </si>
  <si>
    <t>Sandnes eiendom invest AS - Spesialhelsestasjon</t>
  </si>
  <si>
    <t>Sandnes eiendom invest AS - Fysio/ergoterapi</t>
  </si>
  <si>
    <t>Sandnes eiendom invest AS - Vågsgjerd akt.senter</t>
  </si>
  <si>
    <t>Sandnes eiendom invest AS - flerspråklige barn/unge</t>
  </si>
  <si>
    <t>Sandnes eiendom invest AS - læringssenter/flyktningekontor</t>
  </si>
  <si>
    <t>Totalreform AS - Adm. Bygg</t>
  </si>
  <si>
    <t>Barntex AS - Adm. Bygg</t>
  </si>
  <si>
    <t>Rom eiendom AS, avd Stavanger - helesestasjon</t>
  </si>
  <si>
    <t>Felleskjøpet Rogaland Agder- landbrukskontor</t>
  </si>
  <si>
    <t>Solbygget boligsameie - frivillighetssentralen</t>
  </si>
  <si>
    <t>Betong invest AS - LAR</t>
  </si>
  <si>
    <t>Strandgatens eiendomsselskap AS - AKS/arbeidstrening</t>
  </si>
  <si>
    <t>Stiftelsen Figgjohuset - idrettshall</t>
  </si>
  <si>
    <t>Rogalandd Fylkeskommune - kulturskole/idretts- og turnhall</t>
  </si>
  <si>
    <t>Bjerga eiendom AS - psykiatriboliger</t>
  </si>
  <si>
    <t>Mauritz Kartevollsplass 1 AS c/o EM1 Næriongseiendom - bibliotek</t>
  </si>
  <si>
    <t>Gandal helsehus AS - helsestasjon</t>
  </si>
  <si>
    <t>Gandal bydelshus A/L - fritidssenter</t>
  </si>
  <si>
    <t>Lie blikk AS - byggeklossen (Kvål akt.senter)</t>
  </si>
  <si>
    <t>Sømmegården eiendom AS v/ Fazede Forvaltning AS - partikontorer</t>
  </si>
  <si>
    <t>Deuce AS - Tennisland</t>
  </si>
  <si>
    <t>Julie Eges gt 6</t>
  </si>
  <si>
    <t>Holbergsgate 19</t>
  </si>
  <si>
    <t>Holvergsgate 15</t>
  </si>
  <si>
    <t>Gravarsvn 32/Havneg 2</t>
  </si>
  <si>
    <t>Gravarsvn 32</t>
  </si>
  <si>
    <t>Langgt 54</t>
  </si>
  <si>
    <t>Gandalsgt 7</t>
  </si>
  <si>
    <t>St.Olavsg 2</t>
  </si>
  <si>
    <t>Figgenv 17</t>
  </si>
  <si>
    <t>Mauritz Kartevillsplass 1</t>
  </si>
  <si>
    <t>614+122</t>
  </si>
  <si>
    <t>400+80</t>
  </si>
  <si>
    <t>70+1064</t>
  </si>
  <si>
    <t>600+119</t>
  </si>
  <si>
    <t>2450+64+1090</t>
  </si>
  <si>
    <t>620+389</t>
  </si>
  <si>
    <t>1350+150</t>
  </si>
  <si>
    <t>145+619</t>
  </si>
  <si>
    <t>338+34</t>
  </si>
  <si>
    <t>232+120</t>
  </si>
  <si>
    <t>??+473</t>
  </si>
  <si>
    <t>2835+4764+698</t>
  </si>
  <si>
    <t>171+24</t>
  </si>
  <si>
    <t>377+121</t>
  </si>
  <si>
    <t>Sandnes eiendom invest AS - NAV kommune</t>
  </si>
  <si>
    <t>2320/4302</t>
  </si>
  <si>
    <t>Holbergsgaten 23</t>
  </si>
  <si>
    <t>Budsjett 2013</t>
  </si>
  <si>
    <t>B1842000*</t>
  </si>
  <si>
    <t>Budsjett 2014</t>
  </si>
  <si>
    <t>Forslag til budsjettoverføring</t>
  </si>
  <si>
    <t>Høle samfunnshus</t>
  </si>
  <si>
    <t>Sum alle helsestasjoner</t>
  </si>
  <si>
    <t>Diff mellom R2013/B2013</t>
  </si>
  <si>
    <t>Høle samfunnshus A/L - gymsal</t>
  </si>
  <si>
    <t xml:space="preserve">Avvik: </t>
  </si>
  <si>
    <t>Ansvaret har mindreforbruk kr 97470, totalt sett. Periodisering av husleie har redusert kostnaden for 2013 etter at oversikten ble laget. Budsjettet foreslås redusert med reelle kostnader.</t>
  </si>
  <si>
    <t>Totalt sett har helsestasjonene kr 885 750 mer i husleie kostnader en budsjettert for lokaler som er med i denne oversikten. Budsjettet er redusert fra 2013 til 2014 med kr 100 000 som følge av mindre kostnader for lokaler på Dale. Ansvaret har merforbruk kr 2,280 mill, totalt sett. Budsjettet foreslås redusert med budsjetterte kostnader.</t>
  </si>
  <si>
    <t>Ansvaret går i balanse, totalt sett. Budsjettet foreslås redusert med reelle kostnader.</t>
  </si>
  <si>
    <t>Ansvaret har mindreforbruk kr 22437, totalt sett. Vil få merforbruk dersom budsjettet reduseres tilsvarende hele husleiekostnaden. Foreslår overføring av kr 600 000.</t>
  </si>
  <si>
    <t>Ansvaret går i balanse som følge av innsparing på lønn samt mer inntekter enn budsjettert. Budsjettet foreslås redusert med reelle kostnader.</t>
  </si>
  <si>
    <t>Ansvaret har mindreforbruk kr 486028, totalt sett. Husleiebudsj er høyere i 2013 pga intern omdisponering/bj. Budsjettet foreslås redusert med reelle kostnader.</t>
  </si>
  <si>
    <t>Stort avvik mellom kostnader og budsjett. Peiodisering har redusert kostnadene noe i forhold til oprinnelig oppsett. Ansvaret har stort mindreforbruk. Budsjettet foreslås redusert med reelle kostnader.</t>
  </si>
  <si>
    <t>Totalt sett hadde ansvar 1099 husleiebudsjett kr 7547000 i 2013, regnskapsført 5884342. Budsjettet er nedjustert med kr 1500000. I 2014 er budsjettet igjen på kr 9047000. Budsjettet for 1099 foreslås derfor redusert med reelle kostnader for alle husleier.</t>
  </si>
  <si>
    <t>Mer budsjett husleie enn regnskapsført. Ansvaret gåt i balanse. Budsjettet reduseres tilsvarende budsjettet.</t>
  </si>
  <si>
    <t>Mer budsjett husleie enn regnskapsført. Ansvaret hadde kr 97 454 i merforbruk, totalt sett. Budsjettet foreslås redusert tilsvarende budsjettet.</t>
  </si>
  <si>
    <t>Ansvaret går med mindreforbruk, kr 221 849, i hovedsak som følge av innsparing på lønnsutgifter. Budsjettet foreslås redusert med reelle kostnader.</t>
  </si>
  <si>
    <t>Bankplassen eiendom AS - kultur</t>
  </si>
  <si>
    <t>Bankplassen eiendom AS -fritid</t>
  </si>
  <si>
    <t>Bankplassen eiendom AS - komp</t>
  </si>
  <si>
    <t>Sum alle adm.bygg 1099</t>
  </si>
  <si>
    <t>Mindreforbruk (+)/ merforbruk(-)</t>
  </si>
  <si>
    <t>Ansvaret har merforbruk i 2013. Ny kontrakt er under forhandling jfr K. Barset. Overfører det som er budsjettert. Resten må tileggsbevilges.</t>
  </si>
  <si>
    <t>Ansvaret mar mindreforbruk. Ny kontrakt er under forhandling jfr K. Barset. Foreslår å overføre det som er regnskapsført. Resten må tileggsbevilges.</t>
  </si>
  <si>
    <t>Ansvaret har mindreforbruk i 2013. Ny kontrakt er under forhandling jfr K. Barset. Overfører det som er budsjettert. Resten må evt tileggsbevilges.</t>
  </si>
  <si>
    <t>Ansvaret, totalt sett, har mindreforbruk kr 1 mill. Budsjettet foreslås redusert med reelle kostnader.</t>
  </si>
  <si>
    <t xml:space="preserve">Ingen budsjettmidler på 1190, men ansvaret går i balanse totalt sett. Periodisering har regusert kostnadene noe i forhold til oprinnelig oppsett. Budsjettet foreslås redusert med reelle kostnader. </t>
  </si>
  <si>
    <t>Ikke budsjett, men driften går i balanse, ekstra inntekter hjelper her. Budsjettet foreslås redusert med reelle kostnader.</t>
  </si>
  <si>
    <t xml:space="preserve">Ingen budsjettmidler på 1190, men ansvaret gåt i balanse, totalt sett. Budsjettet foreslås redusert med reelle kostnader. </t>
  </si>
  <si>
    <t>Ingen budsjettmidler på 1190, men ansvaret går i balanse, totalt sett. Budsjettet foreslås redusert med reelle kostnader.</t>
  </si>
  <si>
    <t xml:space="preserve">Regnskap og budsjett 2013 nesten i balanse på husleie. Kun husleie som budsjetteres og regnskapsføres på dette ansvaret. </t>
  </si>
  <si>
    <t>Ny kontrakt for leie av lokaler til landbruk i den gamle politistasjonen er inngått. Legger inn budsjettoverføring for kostnadene for 2014 da 1099 har stort budsjett for husleie totalt sett. Innlimt e-post fra Landbrukssjefen: Landbrukskontoret må ut av Felleskjøpets bygg, vi skal flytte inn i det gamle politihuset i Elvegata. Hos Felleskjøpet har vi en årlig husleie på kr. 104.000 inkl. parkering og renholdsutgifter fra bydrift. Utgiftene for lokalene til Elvegata inkl.parkering er på ca kr. 250 000, + driftsutgifter. For kommunens eiendommer ligger energiutgiftene på ca 80 kr pr kvm , og renholdsutgiftene på ca kr. 250 pr kvm. Arealet vi skal leie i Elvegata er på ca 117 kvm. Etableringskostnader, flyttekostnader og dobbel husleie i oppsigelsesperioden ( 6 måneder) kommer i tillegg i år. Fra og med 2015 vil vi kunne ha en egenfinansiering på ca 25%, da vi kommer til å kreve inn husleie også fra de andre to kommunene som vi har felles landbrukskontor. Det kan vi dessverre ikke for i år, da vi skal varsle eventuelle økninger innen september året før.</t>
  </si>
  <si>
    <t>Det er summen på denne linjen som er med i totasummen nederst (merket med lilla).</t>
  </si>
  <si>
    <t>Kommentar til enhetenes budsjettsituasjon og hvor mye skal enhetens budsjett redusesres</t>
  </si>
  <si>
    <t>Bjerga eiendom AS - Mestringsenheten, Postveien 142</t>
  </si>
  <si>
    <t>Bes tilleggsbevilget.</t>
  </si>
  <si>
    <t>Utleier - leietaker</t>
  </si>
  <si>
    <t xml:space="preserve">Mer budsjettmidler enn reelle kostnader, men ansvaret hadde merforbruk </t>
  </si>
  <si>
    <t>Ansvar 4302 har underskudd, kr 68 087, på husleiebudsjettet her, 2320 har overskudd. Ansvar 4302 har merforbruk kr 97 454 totalt sett. Ansvar 2320 har mindregorbruk kr 1 mill, totalt sett. Budsjettet for ansvar 4302 reduseres tilsvarende budsjett, 2320 overføres tilsvarende reelle kostnader.</t>
  </si>
  <si>
    <t>VEDLEGG 6</t>
  </si>
  <si>
    <r>
      <t xml:space="preserve">Ikke fult budsjett for </t>
    </r>
    <r>
      <rPr>
        <i/>
        <sz val="12"/>
        <color indexed="8"/>
        <rFont val="Calibri"/>
        <family val="2"/>
      </rPr>
      <t>denne</t>
    </r>
    <r>
      <rPr>
        <sz val="12"/>
        <color indexed="8"/>
        <rFont val="Calibri"/>
        <family val="2"/>
      </rPr>
      <t xml:space="preserve"> husleien, men stort budsjett ellers på husleie</t>
    </r>
  </si>
  <si>
    <t>Økning husleie Langgata 54</t>
  </si>
  <si>
    <t xml:space="preserve">Økning i husleiekostnader etter ny leiekontrakt fra 2014. </t>
  </si>
  <si>
    <t>Holbergsgate 15</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</si>
</sst>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Ja&quot;;&quot;Ja&quot;;&quot;Nei&quot;"/>
    <numFmt numFmtId="165" formatCode="&quot;Sann&quot;;&quot;Sann&quot;;&quot;Usann&quot;"/>
    <numFmt numFmtId="166" formatCode="&quot;På&quot;;&quot;På&quot;;&quot;Av&quot;"/>
    <numFmt numFmtId="167" formatCode="[$€-2]\ ###,000_);[Red]\([$€-2]\ ###,000\)"/>
    <numFmt numFmtId="168" formatCode="_ * #,##0.0_ ;_ * \-#,##0.0_ ;_ * &quot;-&quot;??_ ;_ @_ "/>
    <numFmt numFmtId="169" formatCode="_ * #,##0_ ;_ * \-#,##0_ ;_ * &quot;-&quot;??_ ;_ @_ "/>
  </numFmts>
  <fonts count="44">
    <font>
      <sz val="11"/>
      <color theme="1"/>
      <name val="Calibri"/>
      <family val="2"/>
    </font>
    <font>
      <sz val="11"/>
      <color indexed="8"/>
      <name val="Calibri"/>
      <family val="2"/>
    </font>
    <font>
      <sz val="9"/>
      <name val="Tahoma"/>
      <family val="2"/>
    </font>
    <font>
      <b/>
      <sz val="9"/>
      <name val="Tahoma"/>
      <family val="2"/>
    </font>
    <font>
      <sz val="12"/>
      <color indexed="8"/>
      <name val="Calibri"/>
      <family val="2"/>
    </font>
    <font>
      <i/>
      <sz val="12"/>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2"/>
      <color indexed="8"/>
      <name val="Arial"/>
      <family val="2"/>
    </font>
    <font>
      <b/>
      <sz val="12"/>
      <color indexed="8"/>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2"/>
      <color theme="1"/>
      <name val="Arial"/>
      <family val="2"/>
    </font>
    <font>
      <b/>
      <sz val="12"/>
      <color theme="1"/>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C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0" applyNumberFormat="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23" borderId="1" applyNumberFormat="0" applyAlignment="0" applyProtection="0"/>
    <xf numFmtId="0" fontId="30" fillId="0" borderId="2" applyNumberFormat="0" applyFill="0" applyAlignment="0" applyProtection="0"/>
    <xf numFmtId="43" fontId="0" fillId="0" borderId="0" applyFont="0" applyFill="0" applyBorder="0" applyAlignment="0" applyProtection="0"/>
    <xf numFmtId="0" fontId="31" fillId="24" borderId="3" applyNumberFormat="0" applyAlignment="0" applyProtection="0"/>
    <xf numFmtId="0" fontId="0" fillId="25" borderId="4" applyNumberFormat="0" applyFont="0" applyAlignment="0" applyProtection="0"/>
    <xf numFmtId="0" fontId="32" fillId="26"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41" fontId="0" fillId="0" borderId="0" applyFont="0" applyFill="0" applyBorder="0" applyAlignment="0" applyProtection="0"/>
    <xf numFmtId="0" fontId="38" fillId="20" borderId="9" applyNumberFormat="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49">
    <xf numFmtId="0" fontId="0" fillId="0" borderId="0" xfId="0" applyFont="1" applyAlignment="1">
      <alignment/>
    </xf>
    <xf numFmtId="0" fontId="40" fillId="0" borderId="0" xfId="0" applyFont="1" applyAlignment="1">
      <alignment horizontal="right"/>
    </xf>
    <xf numFmtId="0" fontId="41" fillId="0" borderId="10" xfId="0" applyFont="1" applyBorder="1" applyAlignment="1">
      <alignment/>
    </xf>
    <xf numFmtId="0" fontId="41" fillId="0" borderId="10" xfId="0" applyFont="1" applyBorder="1" applyAlignment="1">
      <alignment wrapText="1"/>
    </xf>
    <xf numFmtId="0" fontId="41" fillId="0" borderId="10" xfId="0" applyFont="1" applyFill="1" applyBorder="1" applyAlignment="1">
      <alignment wrapText="1"/>
    </xf>
    <xf numFmtId="0" fontId="41" fillId="0" borderId="10" xfId="0" applyFont="1" applyFill="1" applyBorder="1" applyAlignment="1">
      <alignment/>
    </xf>
    <xf numFmtId="0" fontId="41" fillId="33" borderId="10" xfId="0" applyFont="1" applyFill="1" applyBorder="1" applyAlignment="1">
      <alignment wrapText="1"/>
    </xf>
    <xf numFmtId="0" fontId="42" fillId="34" borderId="10" xfId="0" applyFont="1" applyFill="1" applyBorder="1" applyAlignment="1">
      <alignment vertical="top" wrapText="1"/>
    </xf>
    <xf numFmtId="0" fontId="42" fillId="34" borderId="10" xfId="0" applyFont="1" applyFill="1" applyBorder="1" applyAlignment="1">
      <alignment/>
    </xf>
    <xf numFmtId="0" fontId="42" fillId="34" borderId="10" xfId="0" applyFont="1" applyFill="1" applyBorder="1" applyAlignment="1">
      <alignment wrapText="1"/>
    </xf>
    <xf numFmtId="169" fontId="42" fillId="34" borderId="11" xfId="39" applyNumberFormat="1" applyFont="1" applyFill="1" applyBorder="1" applyAlignment="1">
      <alignment/>
    </xf>
    <xf numFmtId="169" fontId="42" fillId="34" borderId="10" xfId="39" applyNumberFormat="1" applyFont="1" applyFill="1" applyBorder="1" applyAlignment="1">
      <alignment/>
    </xf>
    <xf numFmtId="0" fontId="42" fillId="33" borderId="10" xfId="0" applyFont="1" applyFill="1" applyBorder="1" applyAlignment="1">
      <alignment/>
    </xf>
    <xf numFmtId="169" fontId="42" fillId="34" borderId="10" xfId="0" applyNumberFormat="1" applyFont="1" applyFill="1" applyBorder="1" applyAlignment="1">
      <alignment/>
    </xf>
    <xf numFmtId="0" fontId="41" fillId="34" borderId="10" xfId="0" applyFont="1" applyFill="1" applyBorder="1" applyAlignment="1">
      <alignment wrapText="1"/>
    </xf>
    <xf numFmtId="0" fontId="41" fillId="34" borderId="10" xfId="0" applyFont="1" applyFill="1" applyBorder="1" applyAlignment="1">
      <alignment/>
    </xf>
    <xf numFmtId="169" fontId="41" fillId="34" borderId="11" xfId="39" applyNumberFormat="1" applyFont="1" applyFill="1" applyBorder="1" applyAlignment="1">
      <alignment/>
    </xf>
    <xf numFmtId="169" fontId="41" fillId="33" borderId="10" xfId="39" applyNumberFormat="1" applyFont="1" applyFill="1" applyBorder="1" applyAlignment="1">
      <alignment/>
    </xf>
    <xf numFmtId="0" fontId="42" fillId="0" borderId="10" xfId="0" applyFont="1" applyFill="1" applyBorder="1" applyAlignment="1">
      <alignment wrapText="1"/>
    </xf>
    <xf numFmtId="0" fontId="42" fillId="0" borderId="10" xfId="0" applyFont="1" applyFill="1" applyBorder="1" applyAlignment="1">
      <alignment/>
    </xf>
    <xf numFmtId="169" fontId="42" fillId="0" borderId="11" xfId="39" applyNumberFormat="1" applyFont="1" applyFill="1" applyBorder="1" applyAlignment="1">
      <alignment/>
    </xf>
    <xf numFmtId="169" fontId="42" fillId="33" borderId="10" xfId="39" applyNumberFormat="1" applyFont="1" applyFill="1" applyBorder="1" applyAlignment="1">
      <alignment/>
    </xf>
    <xf numFmtId="169" fontId="42" fillId="0" borderId="10" xfId="0" applyNumberFormat="1" applyFont="1" applyFill="1" applyBorder="1" applyAlignment="1">
      <alignment/>
    </xf>
    <xf numFmtId="0" fontId="42" fillId="9" borderId="10" xfId="0" applyFont="1" applyFill="1" applyBorder="1" applyAlignment="1">
      <alignment wrapText="1"/>
    </xf>
    <xf numFmtId="0" fontId="42" fillId="9" borderId="10" xfId="0" applyFont="1" applyFill="1" applyBorder="1" applyAlignment="1">
      <alignment/>
    </xf>
    <xf numFmtId="169" fontId="42" fillId="9" borderId="11" xfId="39" applyNumberFormat="1" applyFont="1" applyFill="1" applyBorder="1" applyAlignment="1">
      <alignment/>
    </xf>
    <xf numFmtId="169" fontId="42" fillId="9" borderId="10" xfId="0" applyNumberFormat="1" applyFont="1" applyFill="1" applyBorder="1" applyAlignment="1">
      <alignment/>
    </xf>
    <xf numFmtId="0" fontId="41" fillId="9" borderId="10" xfId="0" applyFont="1" applyFill="1" applyBorder="1" applyAlignment="1">
      <alignment wrapText="1"/>
    </xf>
    <xf numFmtId="0" fontId="41" fillId="9" borderId="10" xfId="0" applyFont="1" applyFill="1" applyBorder="1" applyAlignment="1">
      <alignment/>
    </xf>
    <xf numFmtId="169" fontId="41" fillId="9" borderId="11" xfId="39" applyNumberFormat="1" applyFont="1" applyFill="1" applyBorder="1" applyAlignment="1">
      <alignment/>
    </xf>
    <xf numFmtId="169" fontId="41" fillId="9" borderId="10" xfId="0" applyNumberFormat="1" applyFont="1" applyFill="1" applyBorder="1" applyAlignment="1">
      <alignment/>
    </xf>
    <xf numFmtId="169" fontId="42" fillId="0" borderId="10" xfId="0" applyNumberFormat="1" applyFont="1" applyBorder="1" applyAlignment="1">
      <alignment/>
    </xf>
    <xf numFmtId="0" fontId="42" fillId="0" borderId="10" xfId="0" applyFont="1" applyBorder="1" applyAlignment="1">
      <alignment wrapText="1"/>
    </xf>
    <xf numFmtId="0" fontId="42" fillId="0" borderId="10" xfId="0" applyFont="1" applyBorder="1" applyAlignment="1">
      <alignment/>
    </xf>
    <xf numFmtId="0" fontId="42" fillId="0" borderId="0" xfId="0" applyFont="1" applyAlignment="1">
      <alignment/>
    </xf>
    <xf numFmtId="169" fontId="41" fillId="11" borderId="0" xfId="39" applyNumberFormat="1" applyFont="1" applyFill="1" applyAlignment="1">
      <alignment/>
    </xf>
    <xf numFmtId="169" fontId="41" fillId="0" borderId="10" xfId="0" applyNumberFormat="1" applyFont="1" applyBorder="1" applyAlignment="1">
      <alignment/>
    </xf>
    <xf numFmtId="0" fontId="41" fillId="0" borderId="0" xfId="0" applyFont="1" applyAlignment="1">
      <alignment/>
    </xf>
    <xf numFmtId="169" fontId="41" fillId="33" borderId="10" xfId="0" applyNumberFormat="1" applyFont="1" applyFill="1" applyBorder="1" applyAlignment="1">
      <alignment/>
    </xf>
    <xf numFmtId="169" fontId="42" fillId="0" borderId="0" xfId="0" applyNumberFormat="1" applyFont="1" applyAlignment="1">
      <alignment/>
    </xf>
    <xf numFmtId="0" fontId="42" fillId="34" borderId="12" xfId="0" applyFont="1" applyFill="1" applyBorder="1" applyAlignment="1">
      <alignment/>
    </xf>
    <xf numFmtId="0" fontId="42" fillId="0" borderId="0" xfId="0" applyFont="1" applyBorder="1" applyAlignment="1">
      <alignment/>
    </xf>
    <xf numFmtId="169" fontId="42" fillId="0" borderId="0" xfId="39" applyNumberFormat="1" applyFont="1" applyBorder="1" applyAlignment="1">
      <alignment/>
    </xf>
    <xf numFmtId="169" fontId="41" fillId="0" borderId="10" xfId="0" applyNumberFormat="1" applyFont="1" applyFill="1" applyBorder="1" applyAlignment="1">
      <alignment/>
    </xf>
    <xf numFmtId="0" fontId="42" fillId="35" borderId="10" xfId="0" applyFont="1" applyFill="1" applyBorder="1" applyAlignment="1">
      <alignment wrapText="1"/>
    </xf>
    <xf numFmtId="0" fontId="42" fillId="35" borderId="10" xfId="0" applyFont="1" applyFill="1" applyBorder="1" applyAlignment="1">
      <alignment/>
    </xf>
    <xf numFmtId="169" fontId="42" fillId="35" borderId="11" xfId="39" applyNumberFormat="1" applyFont="1" applyFill="1" applyBorder="1" applyAlignment="1">
      <alignment/>
    </xf>
    <xf numFmtId="169" fontId="42" fillId="35" borderId="10" xfId="39" applyNumberFormat="1" applyFont="1" applyFill="1" applyBorder="1" applyAlignment="1">
      <alignment/>
    </xf>
    <xf numFmtId="169" fontId="42" fillId="35" borderId="10" xfId="0" applyNumberFormat="1" applyFont="1" applyFill="1" applyBorder="1" applyAlignment="1">
      <alignment/>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view="pageLayout" zoomScale="70" zoomScaleNormal="90" zoomScalePageLayoutView="70" workbookViewId="0" topLeftCell="A1">
      <selection activeCell="B14" sqref="B14"/>
    </sheetView>
  </sheetViews>
  <sheetFormatPr defaultColWidth="11.421875" defaultRowHeight="15"/>
  <cols>
    <col min="1" max="1" width="29.00390625" style="0" customWidth="1"/>
    <col min="2" max="2" width="23.28125" style="0" bestFit="1" customWidth="1"/>
    <col min="3" max="3" width="16.421875" style="0" hidden="1" customWidth="1"/>
    <col min="4" max="4" width="21.140625" style="0" hidden="1" customWidth="1"/>
    <col min="5" max="5" width="16.28125" style="0" hidden="1" customWidth="1"/>
    <col min="6" max="6" width="16.140625" style="0" customWidth="1"/>
    <col min="7" max="7" width="15.28125" style="0" bestFit="1" customWidth="1"/>
    <col min="8" max="8" width="17.140625" style="0" bestFit="1" customWidth="1"/>
    <col min="9" max="9" width="15.8515625" style="0" customWidth="1"/>
    <col min="10" max="10" width="17.8515625" style="0" customWidth="1"/>
    <col min="11" max="11" width="19.00390625" style="0" bestFit="1" customWidth="1"/>
    <col min="12" max="12" width="17.421875" style="0" customWidth="1"/>
    <col min="13" max="13" width="92.00390625" style="0" customWidth="1"/>
  </cols>
  <sheetData>
    <row r="1" ht="22.5" customHeight="1">
      <c r="M1" s="1" t="s">
        <v>115</v>
      </c>
    </row>
    <row r="2" spans="1:13" ht="63">
      <c r="A2" s="2" t="s">
        <v>112</v>
      </c>
      <c r="B2" s="2" t="s">
        <v>0</v>
      </c>
      <c r="C2" s="2" t="s">
        <v>19</v>
      </c>
      <c r="D2" s="3" t="s">
        <v>20</v>
      </c>
      <c r="E2" s="2" t="s">
        <v>1</v>
      </c>
      <c r="F2" s="2" t="s">
        <v>18</v>
      </c>
      <c r="G2" s="2" t="s">
        <v>17</v>
      </c>
      <c r="H2" s="4" t="s">
        <v>73</v>
      </c>
      <c r="I2" s="5" t="s">
        <v>75</v>
      </c>
      <c r="J2" s="6" t="s">
        <v>76</v>
      </c>
      <c r="K2" s="4" t="s">
        <v>79</v>
      </c>
      <c r="L2" s="4" t="s">
        <v>97</v>
      </c>
      <c r="M2" s="4" t="s">
        <v>109</v>
      </c>
    </row>
    <row r="3" spans="1:13" ht="31.5">
      <c r="A3" s="7" t="s">
        <v>21</v>
      </c>
      <c r="B3" s="7" t="s">
        <v>2</v>
      </c>
      <c r="C3" s="8" t="s">
        <v>22</v>
      </c>
      <c r="D3" s="9"/>
      <c r="E3" s="8" t="s">
        <v>23</v>
      </c>
      <c r="F3" s="8">
        <v>3153</v>
      </c>
      <c r="G3" s="10">
        <f>107686+107686+107686+107686</f>
        <v>430744</v>
      </c>
      <c r="H3" s="11"/>
      <c r="I3" s="8"/>
      <c r="J3" s="12"/>
      <c r="K3" s="13"/>
      <c r="L3" s="13"/>
      <c r="M3" s="8"/>
    </row>
    <row r="4" spans="1:13" ht="31.5">
      <c r="A4" s="9" t="s">
        <v>25</v>
      </c>
      <c r="B4" s="8" t="s">
        <v>46</v>
      </c>
      <c r="C4" s="8" t="s">
        <v>57</v>
      </c>
      <c r="D4" s="8"/>
      <c r="E4" s="8"/>
      <c r="F4" s="8">
        <v>3153</v>
      </c>
      <c r="G4" s="10">
        <f>160651+160651+160651+160651</f>
        <v>642604</v>
      </c>
      <c r="H4" s="10"/>
      <c r="I4" s="8"/>
      <c r="J4" s="12"/>
      <c r="K4" s="13"/>
      <c r="L4" s="13"/>
      <c r="M4" s="9"/>
    </row>
    <row r="5" spans="1:13" ht="47.25">
      <c r="A5" s="9" t="s">
        <v>32</v>
      </c>
      <c r="B5" s="8" t="s">
        <v>52</v>
      </c>
      <c r="C5" s="8" t="s">
        <v>63</v>
      </c>
      <c r="D5" s="8"/>
      <c r="E5" s="8"/>
      <c r="F5" s="8">
        <v>3153</v>
      </c>
      <c r="G5" s="10">
        <f>182773+303+192023+23893+182773+60924+21963+125449</f>
        <v>790101</v>
      </c>
      <c r="H5" s="10"/>
      <c r="I5" s="8"/>
      <c r="J5" s="12"/>
      <c r="K5" s="13"/>
      <c r="L5" s="13"/>
      <c r="M5" s="9"/>
    </row>
    <row r="6" spans="1:13" ht="15.75">
      <c r="A6" s="7" t="s">
        <v>77</v>
      </c>
      <c r="B6" s="7"/>
      <c r="C6" s="8"/>
      <c r="D6" s="9"/>
      <c r="E6" s="8"/>
      <c r="F6" s="8">
        <v>3153</v>
      </c>
      <c r="G6" s="10">
        <v>27000</v>
      </c>
      <c r="H6" s="10"/>
      <c r="I6" s="8"/>
      <c r="J6" s="12"/>
      <c r="K6" s="13"/>
      <c r="L6" s="13"/>
      <c r="M6" s="9"/>
    </row>
    <row r="7" spans="1:13" ht="31.5">
      <c r="A7" s="9" t="s">
        <v>41</v>
      </c>
      <c r="B7" s="8" t="s">
        <v>11</v>
      </c>
      <c r="C7" s="8">
        <v>515</v>
      </c>
      <c r="D7" s="8"/>
      <c r="E7" s="8"/>
      <c r="F7" s="8">
        <v>3153</v>
      </c>
      <c r="G7" s="10">
        <f>169306+169306+169306+172654</f>
        <v>680572</v>
      </c>
      <c r="H7" s="10"/>
      <c r="I7" s="8"/>
      <c r="J7" s="12"/>
      <c r="K7" s="13"/>
      <c r="L7" s="13"/>
      <c r="M7" s="9"/>
    </row>
    <row r="8" spans="1:13" ht="78.75">
      <c r="A8" s="14" t="s">
        <v>78</v>
      </c>
      <c r="B8" s="15"/>
      <c r="C8" s="15"/>
      <c r="D8" s="15"/>
      <c r="E8" s="15"/>
      <c r="F8" s="15"/>
      <c r="G8" s="16">
        <v>2727750</v>
      </c>
      <c r="H8" s="16">
        <v>1842000</v>
      </c>
      <c r="I8" s="15">
        <v>1742000</v>
      </c>
      <c r="J8" s="17">
        <v>1742000</v>
      </c>
      <c r="K8" s="13">
        <f aca="true" t="shared" si="0" ref="K8:K33">H8-G8</f>
        <v>-885750</v>
      </c>
      <c r="L8" s="13">
        <v>-2280384</v>
      </c>
      <c r="M8" s="9" t="s">
        <v>83</v>
      </c>
    </row>
    <row r="9" spans="1:13" ht="47.25">
      <c r="A9" s="18" t="s">
        <v>24</v>
      </c>
      <c r="B9" s="19" t="s">
        <v>46</v>
      </c>
      <c r="C9" s="19" t="s">
        <v>56</v>
      </c>
      <c r="D9" s="18"/>
      <c r="E9" s="19"/>
      <c r="F9" s="19">
        <v>315210</v>
      </c>
      <c r="G9" s="20">
        <v>1161691</v>
      </c>
      <c r="H9" s="20">
        <v>1092000</v>
      </c>
      <c r="I9" s="19">
        <v>1092000</v>
      </c>
      <c r="J9" s="21">
        <v>1161691</v>
      </c>
      <c r="K9" s="22">
        <f t="shared" si="0"/>
        <v>-69691</v>
      </c>
      <c r="L9" s="22">
        <v>97470</v>
      </c>
      <c r="M9" s="18" t="s">
        <v>82</v>
      </c>
    </row>
    <row r="10" spans="1:13" ht="47.25">
      <c r="A10" s="18" t="s">
        <v>27</v>
      </c>
      <c r="B10" s="19" t="s">
        <v>47</v>
      </c>
      <c r="C10" s="19" t="s">
        <v>58</v>
      </c>
      <c r="D10" s="19"/>
      <c r="E10" s="19"/>
      <c r="F10" s="19">
        <v>320521</v>
      </c>
      <c r="G10" s="20">
        <f>385331+1250+385331+42890+385331+42890+385331+42890</f>
        <v>1671244</v>
      </c>
      <c r="H10" s="20">
        <v>1389000</v>
      </c>
      <c r="I10" s="19">
        <v>1389000</v>
      </c>
      <c r="J10" s="21">
        <v>1671244</v>
      </c>
      <c r="K10" s="22">
        <f t="shared" si="0"/>
        <v>-282244</v>
      </c>
      <c r="L10" s="22">
        <v>205</v>
      </c>
      <c r="M10" s="18" t="s">
        <v>84</v>
      </c>
    </row>
    <row r="11" spans="1:13" ht="47.25">
      <c r="A11" s="44" t="s">
        <v>35</v>
      </c>
      <c r="B11" s="45" t="s">
        <v>6</v>
      </c>
      <c r="C11" s="45" t="s">
        <v>64</v>
      </c>
      <c r="D11" s="45"/>
      <c r="E11" s="45"/>
      <c r="F11" s="45">
        <v>315232</v>
      </c>
      <c r="G11" s="46">
        <f>152017+152016+152016+152016+155432</f>
        <v>763497</v>
      </c>
      <c r="H11" s="46">
        <v>586000</v>
      </c>
      <c r="I11" s="45">
        <v>586000</v>
      </c>
      <c r="J11" s="47">
        <v>600000</v>
      </c>
      <c r="K11" s="48">
        <f aca="true" t="shared" si="1" ref="K11:K17">H11-G11</f>
        <v>-177497</v>
      </c>
      <c r="L11" s="48">
        <v>22437</v>
      </c>
      <c r="M11" s="18" t="s">
        <v>85</v>
      </c>
    </row>
    <row r="12" spans="1:13" ht="47.25">
      <c r="A12" s="18" t="s">
        <v>43</v>
      </c>
      <c r="B12" s="19" t="s">
        <v>14</v>
      </c>
      <c r="C12" s="19">
        <v>950</v>
      </c>
      <c r="D12" s="19"/>
      <c r="E12" s="19"/>
      <c r="F12" s="19">
        <v>320520</v>
      </c>
      <c r="G12" s="20">
        <f>51249+51249+121964+60982+60982+60982+60982+60982+61929+60982+60982</f>
        <v>713265</v>
      </c>
      <c r="H12" s="20">
        <v>631750</v>
      </c>
      <c r="I12" s="19">
        <v>631750</v>
      </c>
      <c r="J12" s="21">
        <v>713265</v>
      </c>
      <c r="K12" s="22">
        <f t="shared" si="1"/>
        <v>-81515</v>
      </c>
      <c r="L12" s="22">
        <v>287</v>
      </c>
      <c r="M12" s="18" t="s">
        <v>86</v>
      </c>
    </row>
    <row r="13" spans="1:13" ht="47.25">
      <c r="A13" s="18" t="s">
        <v>110</v>
      </c>
      <c r="B13" s="19" t="s">
        <v>10</v>
      </c>
      <c r="C13" s="19"/>
      <c r="D13" s="19"/>
      <c r="E13" s="19"/>
      <c r="F13" s="19">
        <v>315222</v>
      </c>
      <c r="G13" s="20">
        <v>2120273</v>
      </c>
      <c r="H13" s="20">
        <v>2200000</v>
      </c>
      <c r="I13" s="19">
        <v>2200000</v>
      </c>
      <c r="J13" s="21">
        <v>2200000</v>
      </c>
      <c r="K13" s="22">
        <f t="shared" si="1"/>
        <v>79727</v>
      </c>
      <c r="L13" s="22">
        <v>-351</v>
      </c>
      <c r="M13" s="18" t="s">
        <v>113</v>
      </c>
    </row>
    <row r="14" spans="1:13" ht="31.5">
      <c r="A14" s="44" t="s">
        <v>26</v>
      </c>
      <c r="B14" s="45" t="s">
        <v>119</v>
      </c>
      <c r="C14" s="45">
        <v>301</v>
      </c>
      <c r="D14" s="45"/>
      <c r="E14" s="45"/>
      <c r="F14" s="45">
        <v>3154</v>
      </c>
      <c r="G14" s="46">
        <f>81595+10624+81595+10624+81595+10624+81595+10624+83635+10890</f>
        <v>463401</v>
      </c>
      <c r="H14" s="46">
        <v>0</v>
      </c>
      <c r="I14" s="45"/>
      <c r="J14" s="47">
        <v>463401</v>
      </c>
      <c r="K14" s="48">
        <f t="shared" si="1"/>
        <v>-463401</v>
      </c>
      <c r="L14" s="48">
        <v>534</v>
      </c>
      <c r="M14" s="18" t="s">
        <v>105</v>
      </c>
    </row>
    <row r="15" spans="1:13" ht="31.5">
      <c r="A15" s="18" t="s">
        <v>34</v>
      </c>
      <c r="B15" s="19" t="s">
        <v>5</v>
      </c>
      <c r="C15" s="19">
        <v>90</v>
      </c>
      <c r="D15" s="19"/>
      <c r="E15" s="19"/>
      <c r="F15" s="19">
        <v>1020</v>
      </c>
      <c r="G15" s="20">
        <f>15000+15000+15000+15000</f>
        <v>60000</v>
      </c>
      <c r="H15" s="20">
        <v>0</v>
      </c>
      <c r="I15" s="19"/>
      <c r="J15" s="21">
        <v>60000</v>
      </c>
      <c r="K15" s="22">
        <f t="shared" si="1"/>
        <v>-60000</v>
      </c>
      <c r="L15" s="22">
        <v>735773</v>
      </c>
      <c r="M15" s="18" t="s">
        <v>104</v>
      </c>
    </row>
    <row r="16" spans="1:13" ht="47.25">
      <c r="A16" s="44" t="s">
        <v>36</v>
      </c>
      <c r="B16" s="45" t="s">
        <v>7</v>
      </c>
      <c r="C16" s="45" t="s">
        <v>65</v>
      </c>
      <c r="D16" s="45"/>
      <c r="E16" s="45"/>
      <c r="F16" s="45">
        <v>3403</v>
      </c>
      <c r="G16" s="46">
        <f>28000+12814+32000+32000+125521+125521+125521+125521</f>
        <v>606898</v>
      </c>
      <c r="H16" s="46">
        <v>576000</v>
      </c>
      <c r="I16" s="45">
        <v>414000</v>
      </c>
      <c r="J16" s="47">
        <v>606898</v>
      </c>
      <c r="K16" s="48">
        <f t="shared" si="1"/>
        <v>-30898</v>
      </c>
      <c r="L16" s="48">
        <v>486828</v>
      </c>
      <c r="M16" s="18" t="s">
        <v>87</v>
      </c>
    </row>
    <row r="17" spans="1:13" ht="31.5">
      <c r="A17" s="44" t="s">
        <v>39</v>
      </c>
      <c r="B17" s="45" t="s">
        <v>10</v>
      </c>
      <c r="C17" s="45">
        <v>2600</v>
      </c>
      <c r="D17" s="45"/>
      <c r="E17" s="45"/>
      <c r="F17" s="45">
        <v>3405</v>
      </c>
      <c r="G17" s="46">
        <f>19800+256026+19800+256026+256201</f>
        <v>807853</v>
      </c>
      <c r="H17" s="46"/>
      <c r="I17" s="45"/>
      <c r="J17" s="47">
        <v>807853</v>
      </c>
      <c r="K17" s="48">
        <f t="shared" si="1"/>
        <v>-807853</v>
      </c>
      <c r="L17" s="48">
        <v>348</v>
      </c>
      <c r="M17" s="18" t="s">
        <v>103</v>
      </c>
    </row>
    <row r="18" spans="1:13" ht="47.25">
      <c r="A18" s="18" t="s">
        <v>28</v>
      </c>
      <c r="B18" s="19" t="s">
        <v>48</v>
      </c>
      <c r="C18" s="19" t="s">
        <v>59</v>
      </c>
      <c r="D18" s="19"/>
      <c r="E18" s="19"/>
      <c r="F18" s="19">
        <v>2301</v>
      </c>
      <c r="G18" s="20">
        <v>792209</v>
      </c>
      <c r="H18" s="20">
        <v>0</v>
      </c>
      <c r="I18" s="19"/>
      <c r="J18" s="21">
        <v>792209</v>
      </c>
      <c r="K18" s="22">
        <f t="shared" si="0"/>
        <v>-792209</v>
      </c>
      <c r="L18" s="22">
        <v>153</v>
      </c>
      <c r="M18" s="18" t="s">
        <v>102</v>
      </c>
    </row>
    <row r="19" spans="1:13" ht="63">
      <c r="A19" s="18" t="s">
        <v>29</v>
      </c>
      <c r="B19" s="19" t="s">
        <v>49</v>
      </c>
      <c r="C19" s="19" t="s">
        <v>60</v>
      </c>
      <c r="D19" s="19"/>
      <c r="E19" s="19"/>
      <c r="F19" s="19">
        <v>2342</v>
      </c>
      <c r="G19" s="20">
        <v>4699803</v>
      </c>
      <c r="H19" s="20">
        <v>1850000</v>
      </c>
      <c r="I19" s="19">
        <v>1850000</v>
      </c>
      <c r="J19" s="21">
        <v>4699803</v>
      </c>
      <c r="K19" s="22">
        <f t="shared" si="0"/>
        <v>-2849803</v>
      </c>
      <c r="L19" s="22">
        <v>10515320</v>
      </c>
      <c r="M19" s="18" t="s">
        <v>88</v>
      </c>
    </row>
    <row r="20" spans="1:13" ht="31.5">
      <c r="A20" s="18" t="s">
        <v>70</v>
      </c>
      <c r="B20" s="19" t="s">
        <v>50</v>
      </c>
      <c r="C20" s="19" t="s">
        <v>61</v>
      </c>
      <c r="D20" s="19"/>
      <c r="E20" s="19"/>
      <c r="F20" s="19">
        <v>3600</v>
      </c>
      <c r="G20" s="20">
        <f>260656+260656+260656+260656+267174</f>
        <v>1309798</v>
      </c>
      <c r="H20" s="20">
        <v>1300000</v>
      </c>
      <c r="I20" s="19">
        <v>1313000</v>
      </c>
      <c r="J20" s="21">
        <v>1313000</v>
      </c>
      <c r="K20" s="22">
        <f t="shared" si="0"/>
        <v>-9798</v>
      </c>
      <c r="L20" s="22">
        <v>52017</v>
      </c>
      <c r="M20" s="18" t="s">
        <v>106</v>
      </c>
    </row>
    <row r="21" spans="1:13" ht="63">
      <c r="A21" s="23" t="s">
        <v>30</v>
      </c>
      <c r="B21" s="24" t="s">
        <v>3</v>
      </c>
      <c r="C21" s="24">
        <v>2731</v>
      </c>
      <c r="D21" s="24"/>
      <c r="E21" s="24"/>
      <c r="F21" s="24">
        <v>1099</v>
      </c>
      <c r="G21" s="25">
        <f>559780+559780+559780+559780</f>
        <v>2239120</v>
      </c>
      <c r="H21" s="25">
        <v>2200000</v>
      </c>
      <c r="I21" s="24">
        <v>2200000</v>
      </c>
      <c r="J21" s="21">
        <v>2239120</v>
      </c>
      <c r="K21" s="26">
        <f t="shared" si="0"/>
        <v>-39120</v>
      </c>
      <c r="L21" s="26"/>
      <c r="M21" s="23" t="s">
        <v>89</v>
      </c>
    </row>
    <row r="22" spans="1:13" ht="15.75">
      <c r="A22" s="23" t="s">
        <v>31</v>
      </c>
      <c r="B22" s="24" t="s">
        <v>4</v>
      </c>
      <c r="C22" s="24" t="s">
        <v>62</v>
      </c>
      <c r="D22" s="24"/>
      <c r="E22" s="24"/>
      <c r="F22" s="24">
        <v>1099</v>
      </c>
      <c r="G22" s="25">
        <f>373125+42023+373124+42023+373124+42023+137124+42023+385064+43368</f>
        <v>1853021</v>
      </c>
      <c r="H22" s="25">
        <v>1800000</v>
      </c>
      <c r="I22" s="24">
        <v>1900000</v>
      </c>
      <c r="J22" s="21">
        <v>1853021</v>
      </c>
      <c r="K22" s="26">
        <f t="shared" si="0"/>
        <v>-53021</v>
      </c>
      <c r="L22" s="26"/>
      <c r="M22" s="23"/>
    </row>
    <row r="23" spans="1:13" ht="220.5">
      <c r="A23" s="23" t="s">
        <v>33</v>
      </c>
      <c r="B23" s="24" t="s">
        <v>53</v>
      </c>
      <c r="C23" s="24">
        <v>94</v>
      </c>
      <c r="D23" s="24"/>
      <c r="E23" s="24"/>
      <c r="F23" s="24">
        <v>1099</v>
      </c>
      <c r="G23" s="25">
        <f>18742+18742+18742+18742</f>
        <v>74968</v>
      </c>
      <c r="H23" s="25">
        <v>0</v>
      </c>
      <c r="I23" s="24"/>
      <c r="J23" s="21">
        <f>250000+(75000/2)</f>
        <v>287500</v>
      </c>
      <c r="K23" s="26">
        <f>H23-G23</f>
        <v>-74968</v>
      </c>
      <c r="L23" s="26"/>
      <c r="M23" s="23" t="s">
        <v>107</v>
      </c>
    </row>
    <row r="24" spans="1:13" ht="63">
      <c r="A24" s="23" t="s">
        <v>44</v>
      </c>
      <c r="B24" s="24" t="s">
        <v>15</v>
      </c>
      <c r="C24" s="24" t="s">
        <v>68</v>
      </c>
      <c r="D24" s="24"/>
      <c r="E24" s="24"/>
      <c r="F24" s="24">
        <v>1099</v>
      </c>
      <c r="G24" s="25">
        <f>93638+93638+1670+2277+93638+95835</f>
        <v>380696</v>
      </c>
      <c r="H24" s="25">
        <v>230000</v>
      </c>
      <c r="I24" s="24">
        <v>230000</v>
      </c>
      <c r="J24" s="21">
        <v>380696</v>
      </c>
      <c r="K24" s="26">
        <f>H24-G24</f>
        <v>-150696</v>
      </c>
      <c r="L24" s="26"/>
      <c r="M24" s="23" t="s">
        <v>116</v>
      </c>
    </row>
    <row r="25" spans="1:13" ht="31.5">
      <c r="A25" s="27" t="s">
        <v>96</v>
      </c>
      <c r="B25" s="28"/>
      <c r="C25" s="28"/>
      <c r="D25" s="28"/>
      <c r="E25" s="28"/>
      <c r="F25" s="28"/>
      <c r="G25" s="29">
        <f>SUM(G21:G24)</f>
        <v>4547805</v>
      </c>
      <c r="H25" s="29">
        <f>SUM(H21:H24)</f>
        <v>4230000</v>
      </c>
      <c r="I25" s="28">
        <f>SUM(I21:I24)</f>
        <v>4330000</v>
      </c>
      <c r="J25" s="17">
        <f>SUM(J21:J24)</f>
        <v>4760337</v>
      </c>
      <c r="K25" s="30">
        <f>SUM(K21:K24)</f>
        <v>-317805</v>
      </c>
      <c r="L25" s="30">
        <v>1662658</v>
      </c>
      <c r="M25" s="27" t="s">
        <v>108</v>
      </c>
    </row>
    <row r="26" spans="1:13" ht="31.5">
      <c r="A26" s="18" t="s">
        <v>93</v>
      </c>
      <c r="B26" s="19" t="s">
        <v>51</v>
      </c>
      <c r="C26" s="19">
        <v>1654</v>
      </c>
      <c r="D26" s="19"/>
      <c r="E26" s="19"/>
      <c r="F26" s="19">
        <v>5000</v>
      </c>
      <c r="G26" s="20">
        <v>272732</v>
      </c>
      <c r="H26" s="20">
        <v>265000</v>
      </c>
      <c r="I26" s="19">
        <v>265000</v>
      </c>
      <c r="J26" s="21">
        <v>265000</v>
      </c>
      <c r="K26" s="31">
        <f t="shared" si="0"/>
        <v>-7732</v>
      </c>
      <c r="L26" s="31">
        <v>-443421</v>
      </c>
      <c r="M26" s="32" t="s">
        <v>98</v>
      </c>
    </row>
    <row r="27" spans="1:13" ht="31.5">
      <c r="A27" s="18" t="s">
        <v>94</v>
      </c>
      <c r="B27" s="19" t="s">
        <v>51</v>
      </c>
      <c r="C27" s="19">
        <v>1655</v>
      </c>
      <c r="D27" s="19"/>
      <c r="E27" s="19"/>
      <c r="F27" s="19">
        <v>5040</v>
      </c>
      <c r="G27" s="20">
        <v>930504</v>
      </c>
      <c r="H27" s="20">
        <v>887000</v>
      </c>
      <c r="I27" s="19">
        <v>887000</v>
      </c>
      <c r="J27" s="21">
        <v>930504</v>
      </c>
      <c r="K27" s="31">
        <f t="shared" si="0"/>
        <v>-43504</v>
      </c>
      <c r="L27" s="31">
        <v>157941</v>
      </c>
      <c r="M27" s="32" t="s">
        <v>99</v>
      </c>
    </row>
    <row r="28" spans="1:13" ht="31.5">
      <c r="A28" s="18" t="s">
        <v>95</v>
      </c>
      <c r="B28" s="19" t="s">
        <v>51</v>
      </c>
      <c r="C28" s="19">
        <v>1656</v>
      </c>
      <c r="D28" s="19"/>
      <c r="E28" s="19"/>
      <c r="F28" s="19">
        <v>1421</v>
      </c>
      <c r="G28" s="20">
        <v>401080</v>
      </c>
      <c r="H28" s="20">
        <v>508000</v>
      </c>
      <c r="I28" s="19">
        <v>508000</v>
      </c>
      <c r="J28" s="21">
        <v>508000</v>
      </c>
      <c r="K28" s="31">
        <f t="shared" si="0"/>
        <v>106920</v>
      </c>
      <c r="L28" s="31">
        <v>577401</v>
      </c>
      <c r="M28" s="32" t="s">
        <v>100</v>
      </c>
    </row>
    <row r="29" spans="1:13" ht="31.5">
      <c r="A29" s="18" t="s">
        <v>80</v>
      </c>
      <c r="B29" s="19" t="s">
        <v>8</v>
      </c>
      <c r="C29" s="19" t="s">
        <v>66</v>
      </c>
      <c r="D29" s="19"/>
      <c r="E29" s="19"/>
      <c r="F29" s="19">
        <v>2311</v>
      </c>
      <c r="G29" s="20">
        <f>27000+119909+105474-2700</f>
        <v>249683</v>
      </c>
      <c r="H29" s="20">
        <v>268000</v>
      </c>
      <c r="I29" s="33">
        <v>268000</v>
      </c>
      <c r="J29" s="21">
        <v>268000</v>
      </c>
      <c r="K29" s="31">
        <f t="shared" si="0"/>
        <v>18317</v>
      </c>
      <c r="L29" s="31">
        <v>0</v>
      </c>
      <c r="M29" s="32" t="s">
        <v>90</v>
      </c>
    </row>
    <row r="30" spans="1:13" ht="31.5">
      <c r="A30" s="18" t="s">
        <v>37</v>
      </c>
      <c r="B30" s="19" t="s">
        <v>54</v>
      </c>
      <c r="C30" s="19" t="s">
        <v>9</v>
      </c>
      <c r="D30" s="19"/>
      <c r="E30" s="19"/>
      <c r="F30" s="19">
        <v>4302</v>
      </c>
      <c r="G30" s="20">
        <f>618632</f>
        <v>618632</v>
      </c>
      <c r="H30" s="20">
        <v>634000</v>
      </c>
      <c r="I30" s="19">
        <v>634000</v>
      </c>
      <c r="J30" s="21">
        <v>634000</v>
      </c>
      <c r="K30" s="31">
        <f t="shared" si="0"/>
        <v>15368</v>
      </c>
      <c r="L30" s="31">
        <v>-97454</v>
      </c>
      <c r="M30" s="32" t="s">
        <v>91</v>
      </c>
    </row>
    <row r="31" spans="1:13" ht="63">
      <c r="A31" s="18" t="s">
        <v>38</v>
      </c>
      <c r="B31" s="19" t="s">
        <v>72</v>
      </c>
      <c r="C31" s="19" t="s">
        <v>67</v>
      </c>
      <c r="D31" s="19"/>
      <c r="E31" s="19"/>
      <c r="F31" s="19" t="s">
        <v>71</v>
      </c>
      <c r="G31" s="20">
        <f>710270+710270+1182456+1182455+1182456+710270+709211+1182456+417143+295614+417143+295614+295614+417143+418202+295614</f>
        <v>10421931</v>
      </c>
      <c r="H31" s="20">
        <f>8327000+2783000</f>
        <v>11110000</v>
      </c>
      <c r="I31" s="19">
        <v>11110000</v>
      </c>
      <c r="J31" s="21">
        <f>7569844+2783000</f>
        <v>10352844</v>
      </c>
      <c r="K31" s="31">
        <f t="shared" si="0"/>
        <v>688069</v>
      </c>
      <c r="L31" s="31">
        <f>1000116-97454</f>
        <v>902662</v>
      </c>
      <c r="M31" s="32" t="s">
        <v>114</v>
      </c>
    </row>
    <row r="32" spans="1:13" ht="63">
      <c r="A32" s="18" t="s">
        <v>40</v>
      </c>
      <c r="B32" s="19" t="s">
        <v>55</v>
      </c>
      <c r="C32" s="19">
        <v>3610</v>
      </c>
      <c r="D32" s="19"/>
      <c r="E32" s="19"/>
      <c r="F32" s="19">
        <v>5020</v>
      </c>
      <c r="G32" s="20">
        <f>867110+867110+867110+867110</f>
        <v>3468440</v>
      </c>
      <c r="H32" s="20">
        <v>3484000</v>
      </c>
      <c r="I32" s="19">
        <v>3484000</v>
      </c>
      <c r="J32" s="21">
        <v>3484000</v>
      </c>
      <c r="K32" s="31">
        <f t="shared" si="0"/>
        <v>15560</v>
      </c>
      <c r="L32" s="31">
        <v>196</v>
      </c>
      <c r="M32" s="32" t="s">
        <v>84</v>
      </c>
    </row>
    <row r="33" spans="1:13" ht="31.5">
      <c r="A33" s="18" t="s">
        <v>42</v>
      </c>
      <c r="B33" s="19" t="s">
        <v>12</v>
      </c>
      <c r="C33" s="19" t="s">
        <v>13</v>
      </c>
      <c r="D33" s="19"/>
      <c r="E33" s="19"/>
      <c r="F33" s="19">
        <v>5042</v>
      </c>
      <c r="G33" s="20">
        <f>116480+116480</f>
        <v>232960</v>
      </c>
      <c r="H33" s="20">
        <v>190000</v>
      </c>
      <c r="I33" s="33">
        <v>190000</v>
      </c>
      <c r="J33" s="21">
        <v>232960</v>
      </c>
      <c r="K33" s="31">
        <f t="shared" si="0"/>
        <v>-42960</v>
      </c>
      <c r="L33" s="31">
        <v>221849</v>
      </c>
      <c r="M33" s="32" t="s">
        <v>92</v>
      </c>
    </row>
    <row r="34" spans="1:13" ht="31.5">
      <c r="A34" s="18" t="s">
        <v>45</v>
      </c>
      <c r="B34" s="19" t="s">
        <v>16</v>
      </c>
      <c r="C34" s="19" t="s">
        <v>69</v>
      </c>
      <c r="D34" s="19"/>
      <c r="E34" s="19"/>
      <c r="F34" s="19">
        <v>1000</v>
      </c>
      <c r="G34" s="20">
        <f>4387+156875+7117+159856+159856+7117+7117+14005+3222+159856+12241+7117+159856</f>
        <v>858622</v>
      </c>
      <c r="H34" s="20">
        <v>0</v>
      </c>
      <c r="I34" s="2"/>
      <c r="J34" s="21">
        <v>858622</v>
      </c>
      <c r="K34" s="33"/>
      <c r="L34" s="33">
        <v>1044738</v>
      </c>
      <c r="M34" s="18" t="s">
        <v>101</v>
      </c>
    </row>
    <row r="35" spans="1:13" ht="15.75">
      <c r="A35" s="34"/>
      <c r="B35" s="34"/>
      <c r="C35" s="34"/>
      <c r="D35" s="34"/>
      <c r="E35" s="34"/>
      <c r="F35" s="34"/>
      <c r="G35" s="35">
        <f>SUM(G8:G34)-(G21+G22+G23+G24)</f>
        <v>39900071</v>
      </c>
      <c r="H35" s="35">
        <f>SUM(H8:H34)-(H21+H22+H23+H24)</f>
        <v>33042750</v>
      </c>
      <c r="I35" s="35">
        <f>SUM(I8:I34)-(I21+I22+I23+I24)</f>
        <v>32893750</v>
      </c>
      <c r="J35" s="35">
        <f>SUM(J8:J34)-(J21+J22+J23+J24)</f>
        <v>39125631</v>
      </c>
      <c r="K35" s="35">
        <f>SUM(K8:K34)-(K21+K22+K23+K24)</f>
        <v>-5998699</v>
      </c>
      <c r="L35" s="36"/>
      <c r="M35" s="33"/>
    </row>
    <row r="36" spans="1:13" ht="15.75">
      <c r="A36" s="34"/>
      <c r="B36" s="34"/>
      <c r="C36" s="34"/>
      <c r="D36" s="34"/>
      <c r="E36" s="34"/>
      <c r="F36" s="34"/>
      <c r="G36" s="34"/>
      <c r="H36" s="34"/>
      <c r="I36" s="34"/>
      <c r="J36" s="34"/>
      <c r="K36" s="34"/>
      <c r="L36" s="34"/>
      <c r="M36" s="34"/>
    </row>
    <row r="37" spans="1:13" ht="15.75">
      <c r="A37" s="34" t="s">
        <v>117</v>
      </c>
      <c r="B37" s="34"/>
      <c r="C37" s="34"/>
      <c r="D37" s="34"/>
      <c r="E37" s="34"/>
      <c r="F37" s="34"/>
      <c r="G37" s="34"/>
      <c r="H37" s="34"/>
      <c r="I37" s="37"/>
      <c r="J37" s="43">
        <v>80000</v>
      </c>
      <c r="L37" s="34"/>
      <c r="M37" s="34" t="s">
        <v>118</v>
      </c>
    </row>
    <row r="38" spans="1:13" ht="15.75">
      <c r="A38" s="41"/>
      <c r="B38" s="42"/>
      <c r="C38" s="40" t="s">
        <v>74</v>
      </c>
      <c r="D38" s="39">
        <f>1842000-2727750</f>
        <v>-885750</v>
      </c>
      <c r="E38" s="34"/>
      <c r="F38" s="34"/>
      <c r="G38" s="34"/>
      <c r="H38" s="34"/>
      <c r="I38" s="37" t="s">
        <v>81</v>
      </c>
      <c r="J38" s="38">
        <f>G35-J35+J37</f>
        <v>854440</v>
      </c>
      <c r="K38" s="34" t="s">
        <v>111</v>
      </c>
      <c r="L38" s="34"/>
      <c r="M38" s="34"/>
    </row>
  </sheetData>
  <sheetProtection/>
  <printOptions/>
  <pageMargins left="0.7086614173228347" right="0.7086614173228347" top="0.7874015748031497" bottom="0.7874015748031497" header="0.31496062992125984" footer="0.31496062992125984"/>
  <pageSetup fitToHeight="2" fitToWidth="1" horizontalDpi="600" verticalDpi="600" orientation="landscape" paperSize="8" scale="73" r:id="rId3"/>
  <headerFooter>
    <oddHeader>&amp;C&amp;"-,Fet"&amp;16Husleier</oddHeader>
  </headerFooter>
  <rowBreaks count="1" manualBreakCount="1">
    <brk id="28" max="12"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Sandnes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gurartu</dc:creator>
  <cp:keywords/>
  <dc:description/>
  <cp:lastModifiedBy>Sterri, Torbjørn</cp:lastModifiedBy>
  <cp:lastPrinted>2014-05-21T06:54:01Z</cp:lastPrinted>
  <dcterms:created xsi:type="dcterms:W3CDTF">2014-01-13T10:47:01Z</dcterms:created>
  <dcterms:modified xsi:type="dcterms:W3CDTF">2015-08-14T08:41:00Z</dcterms:modified>
  <cp:category/>
  <cp:version/>
  <cp:contentType/>
  <cp:contentStatus/>
</cp:coreProperties>
</file>